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20" windowWidth="22340" windowHeight="18140" tabRatio="500" activeTab="0"/>
  </bookViews>
  <sheets>
    <sheet name="1-sheet" sheetId="1" r:id="rId1"/>
    <sheet name="2-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<sst xmlns="http://schemas.openxmlformats.org/spreadsheetml/2006/main" count="193" uniqueCount="118">
  <si>
    <t>Program Personnel</t>
  </si>
  <si>
    <t>7am - 4pm</t>
  </si>
  <si>
    <t>7am - 3pm</t>
  </si>
  <si>
    <t>3pm - 11pm</t>
  </si>
  <si>
    <t>Mon - Fri</t>
  </si>
  <si>
    <t>Sat - Sun</t>
  </si>
  <si>
    <t>Weekly</t>
  </si>
  <si>
    <t>Cover Hrs</t>
  </si>
  <si>
    <t>Operations supervisor</t>
  </si>
  <si>
    <t>General manager</t>
  </si>
  <si>
    <t>4pm - 12am</t>
  </si>
  <si>
    <t>Task</t>
  </si>
  <si>
    <t>Front desk — AM p-t</t>
  </si>
  <si>
    <t>Front desk — PM p-t</t>
  </si>
  <si>
    <t>Maint/resurface — AM p-t</t>
  </si>
  <si>
    <t>Maint/resurface — PM p-t</t>
  </si>
  <si>
    <t>Maint extra — p-t</t>
  </si>
  <si>
    <t>Maint/Pro-shop — p-t</t>
  </si>
  <si>
    <t>Skate guard — p-t</t>
  </si>
  <si>
    <t>On-ice program help — p-t</t>
  </si>
  <si>
    <t>Off-ice program — p-t</t>
  </si>
  <si>
    <t>Skating instructors 1:8 ratio — p-t</t>
  </si>
  <si>
    <t>Referee — 2 p-t</t>
  </si>
  <si>
    <t>Timekeeper — p-t</t>
  </si>
  <si>
    <t>Supervisor — f-t</t>
  </si>
  <si>
    <t>Program supervisor — f-t</t>
  </si>
  <si>
    <t>[3] Energy savings achieved through controllers cycling the brine pump in sequence with the compressors.</t>
  </si>
  <si>
    <t>— general manager</t>
  </si>
  <si>
    <t>— operations supervisor</t>
  </si>
  <si>
    <t>— sales coordinator/secretary</t>
  </si>
  <si>
    <t>Core staff ($ wages)</t>
  </si>
  <si>
    <t>Capital Improved Value — min.:</t>
  </si>
  <si>
    <t>Capital Improved Value — max:</t>
  </si>
  <si>
    <t>— add min. debt service (30 yrs)</t>
  </si>
  <si>
    <t>— add max. debt service (30 yrs)</t>
  </si>
  <si>
    <t>Totals (min) — conventional</t>
  </si>
  <si>
    <t>Totals (max) — conventional</t>
  </si>
  <si>
    <t>Totals (min) — low-e</t>
  </si>
  <si>
    <t>Totals (max) — low-e</t>
  </si>
  <si>
    <t>gm</t>
  </si>
  <si>
    <t>op sup</t>
  </si>
  <si>
    <t>sales</t>
  </si>
  <si>
    <t>ops</t>
  </si>
  <si>
    <t>maintenance</t>
  </si>
  <si>
    <t>head program instructor</t>
  </si>
  <si>
    <t>instructor</t>
  </si>
  <si>
    <t>front desk attendant</t>
  </si>
  <si>
    <t>/wk</t>
  </si>
  <si>
    <t>/mth</t>
  </si>
  <si>
    <t>/yr</t>
  </si>
  <si>
    <t>hrs</t>
  </si>
  <si>
    <t>$/hr</t>
  </si>
  <si>
    <t>Staff rates</t>
  </si>
  <si>
    <t>MIA single-sheet prototype</t>
  </si>
  <si>
    <t xml:space="preserve">[4] Collected free from roof and stored in tanks. Tank water also used for greywater system (ie., 'Other water' reductions). </t>
  </si>
  <si>
    <t>[5] Based on DEH public building average water consumption benchmark for public areas (3.34 kL/sqm p a)</t>
  </si>
  <si>
    <t>Sales/secretary</t>
  </si>
  <si>
    <t>Typical work schedule: 1-sheet</t>
  </si>
  <si>
    <t>Maint/pro shop</t>
  </si>
  <si>
    <t>Totals</t>
  </si>
  <si>
    <t>Typical work schedule: 2-sheet</t>
  </si>
  <si>
    <t>Mon - Fri (hrs)</t>
  </si>
  <si>
    <t>Sat - Sun (hrs)</t>
  </si>
  <si>
    <t>Totals (hrs)</t>
  </si>
  <si>
    <t xml:space="preserve"> Payroll ($)</t>
  </si>
  <si>
    <t>ar-v</t>
  </si>
  <si>
    <t>v. 1.03</t>
  </si>
  <si>
    <t>[6] Based on water supplied to the property less an "allowance" of 180 KL with excess charged at $0.901 cents/KL.</t>
  </si>
  <si>
    <t>— heat recovery system (KWh) [1]</t>
  </si>
  <si>
    <t>— low-e ceiling (KWh) [2]</t>
  </si>
  <si>
    <t>— brine pump cycling control (KWh) [3]</t>
  </si>
  <si>
    <t>Sewerage (litres) [6]</t>
  </si>
  <si>
    <t>Energy after savings (KWh)</t>
  </si>
  <si>
    <t>Water after savings (litres)</t>
  </si>
  <si>
    <t>Sewerage after savings (litres) [6]</t>
  </si>
  <si>
    <t>— insurance, liability + property</t>
  </si>
  <si>
    <t>— other taxes, fees</t>
  </si>
  <si>
    <t>— cleaning supplies</t>
  </si>
  <si>
    <t>— rubbish removal</t>
  </si>
  <si>
    <t>— facility maintenance</t>
  </si>
  <si>
    <t>— operations (2 or 3 part-time)</t>
  </si>
  <si>
    <t>— maintenance (part-time)</t>
  </si>
  <si>
    <t>— rink water (litres) [4]</t>
  </si>
  <si>
    <t>— other water (litres) [4, 5]</t>
  </si>
  <si>
    <t>— rink water (litres)</t>
  </si>
  <si>
    <t>Revenues</t>
  </si>
  <si>
    <t>— other water (litres) [5]</t>
  </si>
  <si>
    <t xml:space="preserve">Sub-totals — running costs </t>
  </si>
  <si>
    <t>— add debt service (30 yrs)</t>
  </si>
  <si>
    <t>Rates + Insurances</t>
  </si>
  <si>
    <t>c/kL</t>
  </si>
  <si>
    <t>Cleaning + maintenance</t>
  </si>
  <si>
    <t>Floor area:</t>
  </si>
  <si>
    <t>Operatiing hours 7 days / week</t>
  </si>
  <si>
    <t>/CIV</t>
  </si>
  <si>
    <t>% std</t>
  </si>
  <si>
    <t>%low-e</t>
  </si>
  <si>
    <t>Public areas (less rink):</t>
  </si>
  <si>
    <t>— refrigeration (KWh)</t>
  </si>
  <si>
    <t>/ yr</t>
  </si>
  <si>
    <t>/ mth</t>
  </si>
  <si>
    <t>Communications (allowance)</t>
  </si>
  <si>
    <t>— lighting, heat, supply charge (KWh)</t>
  </si>
  <si>
    <t>Energy costs</t>
  </si>
  <si>
    <t>Water</t>
  </si>
  <si>
    <t>c/litre</t>
  </si>
  <si>
    <t>$/mth</t>
  </si>
  <si>
    <t>— council rates (max CIV)</t>
  </si>
  <si>
    <t>— adjust council rates (min CIV)</t>
  </si>
  <si>
    <t>$/yr</t>
  </si>
  <si>
    <t>Rate</t>
  </si>
  <si>
    <t>Unit</t>
  </si>
  <si>
    <t>$/KWh</t>
  </si>
  <si>
    <t xml:space="preserve">[1] Uses recycled rink waste heat and geothermal heat (rock/ ground). 50% to 73% less primary energy. </t>
  </si>
  <si>
    <t>[2] Aluminium foil, fibreglass and fire-resistant material to reduce heat radiating from the warm ceiling to the ice by 90-95%</t>
  </si>
  <si>
    <t>Maintenance Specialists</t>
  </si>
  <si>
    <t>Front Desk Attendant</t>
  </si>
  <si>
    <t>Operations Attendant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</si>
</sst>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9"/>
  <sheetViews>
    <sheetView tabSelected="1" workbookViewId="0" topLeftCell="A1">
      <selection activeCell="I56" sqref="I56"/>
    </sheetView>
  </sheetViews>
  <sheetFormatPr defaultColWidth="11.00390625" defaultRowHeight="12.75"/>
  <cols>
    <col min="1" max="1" width="32.25390625" style="0" customWidth="1"/>
    <col min="4" max="4" width="10.625" style="0" customWidth="1"/>
    <col min="5" max="5" width="12.625" style="0" customWidth="1"/>
    <col min="8" max="8" width="9.125" style="0" customWidth="1"/>
    <col min="9" max="9" width="15.75390625" style="0" customWidth="1"/>
  </cols>
  <sheetData>
    <row r="2" spans="1:9" ht="12.75">
      <c r="A2" s="7" t="s">
        <v>53</v>
      </c>
      <c r="I2" t="s">
        <v>66</v>
      </c>
    </row>
    <row r="3" spans="1:2" ht="12.75">
      <c r="A3" t="s">
        <v>93</v>
      </c>
      <c r="B3">
        <v>18</v>
      </c>
    </row>
    <row r="4" spans="1:2" ht="12.75">
      <c r="A4" t="s">
        <v>92</v>
      </c>
      <c r="B4" s="1">
        <v>7000</v>
      </c>
    </row>
    <row r="5" spans="1:2" ht="12.75">
      <c r="A5" t="s">
        <v>97</v>
      </c>
      <c r="B5" s="1">
        <v>1500</v>
      </c>
    </row>
    <row r="6" spans="1:2" ht="12.75">
      <c r="A6" t="s">
        <v>31</v>
      </c>
      <c r="B6" s="1">
        <v>10000000</v>
      </c>
    </row>
    <row r="7" spans="1:2" ht="12.75">
      <c r="A7" t="s">
        <v>32</v>
      </c>
      <c r="B7" s="1">
        <v>15000000</v>
      </c>
    </row>
    <row r="8" ht="12.75">
      <c r="B8" s="1"/>
    </row>
    <row r="9" spans="2:9" ht="12.75">
      <c r="B9" s="2" t="s">
        <v>99</v>
      </c>
      <c r="C9" s="2" t="s">
        <v>100</v>
      </c>
      <c r="D9" s="2" t="s">
        <v>110</v>
      </c>
      <c r="E9" s="2" t="s">
        <v>111</v>
      </c>
      <c r="F9" s="2" t="s">
        <v>106</v>
      </c>
      <c r="G9" s="2" t="s">
        <v>109</v>
      </c>
      <c r="H9" s="2" t="s">
        <v>95</v>
      </c>
      <c r="I9" s="2" t="s">
        <v>96</v>
      </c>
    </row>
    <row r="10" spans="1:8" ht="12.75">
      <c r="A10" t="s">
        <v>103</v>
      </c>
      <c r="B10" s="1">
        <f>B11+B12</f>
        <v>1500000</v>
      </c>
      <c r="C10" s="1">
        <f>B10/12</f>
        <v>125000</v>
      </c>
      <c r="D10" s="3">
        <f>G10/B10</f>
        <v>0.167176</v>
      </c>
      <c r="E10" s="4" t="s">
        <v>112</v>
      </c>
      <c r="F10" s="1">
        <f>F11+F12</f>
        <v>20897</v>
      </c>
      <c r="G10" s="1">
        <f>F10*12</f>
        <v>250764</v>
      </c>
      <c r="H10" s="6">
        <f>G10/$G$33</f>
        <v>0.46430815633548556</v>
      </c>
    </row>
    <row r="11" spans="1:8" ht="12.75">
      <c r="A11" t="s">
        <v>98</v>
      </c>
      <c r="B11" s="1">
        <v>750000</v>
      </c>
      <c r="C11" s="1">
        <f>B11/12</f>
        <v>62500</v>
      </c>
      <c r="D11" s="3">
        <v>0.167</v>
      </c>
      <c r="E11" s="4" t="s">
        <v>112</v>
      </c>
      <c r="F11" s="1">
        <f>(C11*D11)</f>
        <v>10437.5</v>
      </c>
      <c r="G11" s="1">
        <f>F11*12</f>
        <v>125250</v>
      </c>
      <c r="H11" s="6"/>
    </row>
    <row r="12" spans="1:8" ht="12.75">
      <c r="A12" t="s">
        <v>102</v>
      </c>
      <c r="B12" s="1">
        <v>750000</v>
      </c>
      <c r="C12" s="1">
        <f>B12/12</f>
        <v>62500</v>
      </c>
      <c r="D12" s="3">
        <v>0.167</v>
      </c>
      <c r="E12" s="4" t="s">
        <v>112</v>
      </c>
      <c r="F12" s="1">
        <f>22+(C12*D12)</f>
        <v>10459.5</v>
      </c>
      <c r="G12" s="1">
        <f>F12*12</f>
        <v>125514</v>
      </c>
      <c r="H12" s="6"/>
    </row>
    <row r="13" spans="1:9" ht="12.75">
      <c r="A13" t="s">
        <v>104</v>
      </c>
      <c r="B13" s="1">
        <f>B14+B15</f>
        <v>6028329</v>
      </c>
      <c r="C13" s="1">
        <f>C14+C15</f>
        <v>502360.75</v>
      </c>
      <c r="D13" s="3">
        <v>0.075</v>
      </c>
      <c r="E13" s="5" t="s">
        <v>105</v>
      </c>
      <c r="F13" s="1">
        <f>(C13*D13)/100</f>
        <v>376.77056250000004</v>
      </c>
      <c r="G13" s="1">
        <f>G14+G15</f>
        <v>4521.24675</v>
      </c>
      <c r="H13" s="6">
        <f>G13/$G$33</f>
        <v>0.008371423899883181</v>
      </c>
      <c r="I13" s="6"/>
    </row>
    <row r="14" spans="1:7" ht="12.75">
      <c r="A14" t="s">
        <v>84</v>
      </c>
      <c r="B14" s="1">
        <v>3028329</v>
      </c>
      <c r="C14" s="1">
        <f>B14/12</f>
        <v>252360.75</v>
      </c>
      <c r="D14" s="3">
        <v>0.075</v>
      </c>
      <c r="E14" s="5" t="s">
        <v>105</v>
      </c>
      <c r="F14" s="1">
        <f>(C14*D14)/100</f>
        <v>189.27056249999998</v>
      </c>
      <c r="G14" s="1">
        <f>F14*12</f>
        <v>2271.24675</v>
      </c>
    </row>
    <row r="15" spans="1:7" ht="12.75">
      <c r="A15" t="s">
        <v>86</v>
      </c>
      <c r="B15" s="1">
        <f>B5*2000</f>
        <v>3000000</v>
      </c>
      <c r="C15" s="1">
        <f>B15/12</f>
        <v>250000</v>
      </c>
      <c r="D15" s="3">
        <v>0.075</v>
      </c>
      <c r="E15" s="5" t="s">
        <v>105</v>
      </c>
      <c r="F15" s="1">
        <f>(C15*D15)/100</f>
        <v>187.5</v>
      </c>
      <c r="G15" s="1">
        <f>F15*12</f>
        <v>2250</v>
      </c>
    </row>
    <row r="16" spans="1:9" ht="12.75">
      <c r="A16" t="s">
        <v>71</v>
      </c>
      <c r="B16" s="1">
        <f>B13-180000</f>
        <v>5848329</v>
      </c>
      <c r="C16" s="1">
        <f>B16/12</f>
        <v>487360.75</v>
      </c>
      <c r="D16">
        <v>0.901</v>
      </c>
      <c r="E16" s="2" t="s">
        <v>90</v>
      </c>
      <c r="F16" s="1">
        <f>(250+((C16/1000)*D16))</f>
        <v>689.11203575</v>
      </c>
      <c r="G16" s="1">
        <f>F16*12</f>
        <v>8269.344429</v>
      </c>
      <c r="H16" s="6">
        <f>G16/$G$33</f>
        <v>0.01531130491590543</v>
      </c>
      <c r="I16" s="6"/>
    </row>
    <row r="17" spans="1:9" ht="12.75">
      <c r="A17" t="s">
        <v>89</v>
      </c>
      <c r="B17" s="1"/>
      <c r="C17" s="1"/>
      <c r="D17" s="1"/>
      <c r="E17" s="5"/>
      <c r="F17" s="1">
        <f>SUM(F18:F20)</f>
        <v>5128.125</v>
      </c>
      <c r="G17" s="1">
        <f>SUM(G18:G20)</f>
        <v>61537.5</v>
      </c>
      <c r="H17" s="6">
        <f>G17/$G$33</f>
        <v>0.11394124822739685</v>
      </c>
      <c r="I17" s="6">
        <f>G17/$G$49</f>
        <v>0.14612863309086013</v>
      </c>
    </row>
    <row r="18" spans="1:7" ht="12.75">
      <c r="A18" t="s">
        <v>75</v>
      </c>
      <c r="B18" s="1"/>
      <c r="C18" s="1"/>
      <c r="D18" s="1"/>
      <c r="E18" s="5"/>
      <c r="F18" s="1">
        <v>1650</v>
      </c>
      <c r="G18" s="1">
        <f>F18*12</f>
        <v>19800</v>
      </c>
    </row>
    <row r="19" spans="1:7" ht="12.75">
      <c r="A19" t="s">
        <v>107</v>
      </c>
      <c r="B19" s="1"/>
      <c r="C19" s="1"/>
      <c r="D19" s="3">
        <v>0.23825</v>
      </c>
      <c r="E19" s="5" t="s">
        <v>94</v>
      </c>
      <c r="F19" s="1">
        <f>B7*(D19/100)/12</f>
        <v>2978.125</v>
      </c>
      <c r="G19" s="1">
        <f>F19*12</f>
        <v>35737.5</v>
      </c>
    </row>
    <row r="20" spans="1:7" ht="12.75">
      <c r="A20" t="s">
        <v>76</v>
      </c>
      <c r="B20" s="1"/>
      <c r="C20" s="1"/>
      <c r="D20" s="1"/>
      <c r="E20" s="5"/>
      <c r="F20" s="1">
        <v>500</v>
      </c>
      <c r="G20" s="1">
        <f>F20*12</f>
        <v>6000</v>
      </c>
    </row>
    <row r="21" spans="1:9" ht="12.75">
      <c r="A21" t="s">
        <v>101</v>
      </c>
      <c r="E21" s="2"/>
      <c r="F21" s="1">
        <v>2500</v>
      </c>
      <c r="G21" s="1">
        <v>5000</v>
      </c>
      <c r="H21" s="6">
        <f>G21/$G$33</f>
        <v>0.009257871072711504</v>
      </c>
      <c r="I21" s="6">
        <f>G21/$G$49</f>
        <v>0.011873136956397329</v>
      </c>
    </row>
    <row r="22" spans="1:9" ht="12.75">
      <c r="A22" t="s">
        <v>91</v>
      </c>
      <c r="E22" s="2"/>
      <c r="F22" s="1">
        <f>SUM(F23:F25)</f>
        <v>2350</v>
      </c>
      <c r="G22" s="1">
        <f>SUM(G23:G25)</f>
        <v>28200</v>
      </c>
      <c r="H22" s="6">
        <f>G22/$G$33</f>
        <v>0.05221439285009289</v>
      </c>
      <c r="I22" s="6">
        <f>G22/$G$49</f>
        <v>0.06696449243408094</v>
      </c>
    </row>
    <row r="23" spans="1:7" ht="12.75">
      <c r="A23" t="s">
        <v>77</v>
      </c>
      <c r="E23" s="2"/>
      <c r="F23" s="1">
        <v>500</v>
      </c>
      <c r="G23" s="1">
        <f>F23*12</f>
        <v>6000</v>
      </c>
    </row>
    <row r="24" spans="1:7" ht="12.75">
      <c r="A24" t="s">
        <v>78</v>
      </c>
      <c r="E24" s="2"/>
      <c r="F24" s="1">
        <v>350</v>
      </c>
      <c r="G24" s="1">
        <f>F24*12</f>
        <v>4200</v>
      </c>
    </row>
    <row r="25" spans="1:7" ht="12.75">
      <c r="A25" t="s">
        <v>79</v>
      </c>
      <c r="E25" s="2"/>
      <c r="F25" s="1">
        <v>1500</v>
      </c>
      <c r="G25" s="1">
        <f>F25*12</f>
        <v>18000</v>
      </c>
    </row>
    <row r="26" spans="1:11" ht="12.75">
      <c r="A26" t="s">
        <v>30</v>
      </c>
      <c r="D26" s="1">
        <f>SUM(D27:D31)</f>
        <v>158.37</v>
      </c>
      <c r="E26" s="2" t="s">
        <v>50</v>
      </c>
      <c r="F26" s="1">
        <f>SUM(F27:F31)</f>
        <v>15149.073333333332</v>
      </c>
      <c r="G26" s="1">
        <f>SUM(G27:G31)</f>
        <v>181788.88</v>
      </c>
      <c r="H26" s="6">
        <f>G26/$G$33</f>
        <v>0.3365956026985246</v>
      </c>
      <c r="I26" s="6">
        <f>G26/$G$49</f>
        <v>0.43168085387801586</v>
      </c>
      <c r="K26" s="6"/>
    </row>
    <row r="27" spans="1:7" ht="12.75">
      <c r="A27" t="s">
        <v>27</v>
      </c>
      <c r="D27" s="20">
        <f>H79</f>
        <v>40</v>
      </c>
      <c r="E27" s="2" t="s">
        <v>50</v>
      </c>
      <c r="F27" s="1">
        <f>K79</f>
        <v>4853.333333333333</v>
      </c>
      <c r="G27" s="1">
        <f>F27*12</f>
        <v>58240</v>
      </c>
    </row>
    <row r="28" spans="1:7" ht="12.75">
      <c r="A28" t="s">
        <v>28</v>
      </c>
      <c r="D28" s="20">
        <f>H80</f>
        <v>39.5</v>
      </c>
      <c r="E28" s="2" t="s">
        <v>50</v>
      </c>
      <c r="F28" s="1">
        <f>K80</f>
        <v>4450.333333333333</v>
      </c>
      <c r="G28" s="1">
        <f>F28*12</f>
        <v>53404</v>
      </c>
    </row>
    <row r="29" spans="1:7" ht="12.75">
      <c r="A29" t="s">
        <v>29</v>
      </c>
      <c r="D29" s="20">
        <f>H82</f>
        <v>35</v>
      </c>
      <c r="E29" s="2" t="s">
        <v>50</v>
      </c>
      <c r="F29" s="1">
        <f>K82</f>
        <v>2881.6666666666665</v>
      </c>
      <c r="G29" s="1">
        <f>F29*12</f>
        <v>34580</v>
      </c>
    </row>
    <row r="30" spans="1:7" ht="12.75">
      <c r="A30" t="s">
        <v>80</v>
      </c>
      <c r="D30" s="20">
        <f>H84</f>
        <v>12.370000000000001</v>
      </c>
      <c r="E30" s="2" t="s">
        <v>50</v>
      </c>
      <c r="F30" s="1">
        <f>K84</f>
        <v>643.24</v>
      </c>
      <c r="G30" s="1">
        <f>F30*12</f>
        <v>7718.88</v>
      </c>
    </row>
    <row r="31" spans="1:7" ht="12.75">
      <c r="A31" t="s">
        <v>81</v>
      </c>
      <c r="D31" s="20">
        <f>H81</f>
        <v>31.5</v>
      </c>
      <c r="E31" s="2" t="s">
        <v>50</v>
      </c>
      <c r="F31" s="1">
        <f>K81</f>
        <v>2320.5</v>
      </c>
      <c r="G31" s="1">
        <f>F31*12</f>
        <v>27846</v>
      </c>
    </row>
    <row r="32" ht="12.75">
      <c r="E32" s="2"/>
    </row>
    <row r="33" spans="1:8" ht="12.75">
      <c r="A33" s="7" t="s">
        <v>87</v>
      </c>
      <c r="B33" s="7"/>
      <c r="C33" s="7"/>
      <c r="D33" s="7"/>
      <c r="E33" s="8"/>
      <c r="F33" s="9">
        <f>F26+F22+F21+F17+F16+F13+F10</f>
        <v>47090.08093158333</v>
      </c>
      <c r="G33" s="9">
        <f>G26+G22+G21+G17+G16+G13+G10</f>
        <v>540080.971179</v>
      </c>
      <c r="H33" s="10">
        <f>G33/$G$33</f>
        <v>1</v>
      </c>
    </row>
    <row r="34" spans="1:8" ht="12.75">
      <c r="A34" s="15" t="s">
        <v>108</v>
      </c>
      <c r="B34" s="7"/>
      <c r="C34" s="7"/>
      <c r="D34" s="7"/>
      <c r="E34" s="8"/>
      <c r="F34" s="18">
        <f>-(F19-(B6*(D19/100)/12))</f>
        <v>-992.7083333333333</v>
      </c>
      <c r="G34" s="18">
        <f>F34*12</f>
        <v>-11912.5</v>
      </c>
      <c r="H34" s="10"/>
    </row>
    <row r="35" spans="1:8" ht="12.75">
      <c r="A35" s="15" t="s">
        <v>33</v>
      </c>
      <c r="B35" s="7"/>
      <c r="C35" s="7"/>
      <c r="D35" s="16">
        <v>0.09</v>
      </c>
      <c r="E35" s="16">
        <v>360</v>
      </c>
      <c r="F35" s="17">
        <f>-PMT(D35/12,E35,B6)</f>
        <v>80462.26169447809</v>
      </c>
      <c r="G35" s="18">
        <f>F35*12</f>
        <v>965547.140333737</v>
      </c>
      <c r="H35" s="10"/>
    </row>
    <row r="36" spans="1:8" ht="12.75">
      <c r="A36" s="7" t="s">
        <v>35</v>
      </c>
      <c r="B36" s="7"/>
      <c r="C36" s="7"/>
      <c r="D36" s="7"/>
      <c r="E36" s="8"/>
      <c r="F36" s="9">
        <f>F35+F33+F34</f>
        <v>126559.6342927281</v>
      </c>
      <c r="G36" s="9">
        <f>G35+G33+G34</f>
        <v>1493715.6115127369</v>
      </c>
      <c r="H36" s="10"/>
    </row>
    <row r="37" spans="1:8" ht="12.75">
      <c r="A37" s="15" t="s">
        <v>34</v>
      </c>
      <c r="B37" s="8"/>
      <c r="C37" s="8"/>
      <c r="D37" s="16">
        <v>0.09</v>
      </c>
      <c r="E37" s="16">
        <v>360</v>
      </c>
      <c r="F37" s="17">
        <f>-PMT(D37/12,E37,B7)</f>
        <v>120693.39254171714</v>
      </c>
      <c r="G37" s="18">
        <f>F37*12</f>
        <v>1448320.7105006056</v>
      </c>
      <c r="H37" s="10"/>
    </row>
    <row r="38" spans="1:8" ht="12.75">
      <c r="A38" s="7" t="s">
        <v>36</v>
      </c>
      <c r="B38" s="8"/>
      <c r="C38" s="8"/>
      <c r="D38" s="7"/>
      <c r="E38" s="8"/>
      <c r="F38" s="9">
        <f>F37+F33</f>
        <v>167783.47347330046</v>
      </c>
      <c r="G38" s="9">
        <f>G37+G33</f>
        <v>1988401.6816796055</v>
      </c>
      <c r="H38" s="6"/>
    </row>
    <row r="39" spans="1:8" ht="12.75">
      <c r="A39" s="7"/>
      <c r="B39" s="8"/>
      <c r="C39" s="8"/>
      <c r="D39" s="7"/>
      <c r="E39" s="8"/>
      <c r="F39" s="9"/>
      <c r="G39" s="9"/>
      <c r="H39" s="6"/>
    </row>
    <row r="40" spans="1:9" ht="12.75">
      <c r="A40" t="s">
        <v>72</v>
      </c>
      <c r="B40" s="1">
        <f>B41+B42+B43</f>
        <v>834000</v>
      </c>
      <c r="C40" s="1">
        <f>B40/12</f>
        <v>69500</v>
      </c>
      <c r="D40" s="3">
        <v>0.167</v>
      </c>
      <c r="E40" s="4" t="s">
        <v>112</v>
      </c>
      <c r="F40" s="1">
        <f>(C40*D40)</f>
        <v>11606.5</v>
      </c>
      <c r="G40" s="1">
        <f>F40*12</f>
        <v>139278</v>
      </c>
      <c r="H40" s="6"/>
      <c r="I40" s="6">
        <f>G40/$G$49</f>
        <v>0.3307333538026214</v>
      </c>
    </row>
    <row r="41" spans="1:7" ht="12.75">
      <c r="A41" t="s">
        <v>68</v>
      </c>
      <c r="B41">
        <f>B10/2</f>
        <v>750000</v>
      </c>
      <c r="C41" s="1">
        <f>B41/12</f>
        <v>62500</v>
      </c>
      <c r="D41" s="3">
        <v>0.167</v>
      </c>
      <c r="E41" s="4" t="s">
        <v>112</v>
      </c>
      <c r="F41" s="1">
        <f>(C41*D41)</f>
        <v>10437.5</v>
      </c>
      <c r="G41" s="1">
        <f>F41*12</f>
        <v>125250</v>
      </c>
    </row>
    <row r="42" spans="1:7" ht="12.75">
      <c r="A42" t="s">
        <v>69</v>
      </c>
      <c r="B42" s="1">
        <v>40000</v>
      </c>
      <c r="C42" s="1">
        <f>B42/12</f>
        <v>3333.3333333333335</v>
      </c>
      <c r="D42" s="3">
        <v>0.167</v>
      </c>
      <c r="E42" s="4" t="s">
        <v>112</v>
      </c>
      <c r="F42" s="1">
        <f>(C42*D42)</f>
        <v>556.6666666666667</v>
      </c>
      <c r="G42" s="1">
        <f>F42*12</f>
        <v>6680.000000000001</v>
      </c>
    </row>
    <row r="43" spans="1:7" ht="12.75">
      <c r="A43" t="s">
        <v>70</v>
      </c>
      <c r="B43" s="1">
        <v>44000</v>
      </c>
      <c r="C43" s="1">
        <f>B43/12</f>
        <v>3666.6666666666665</v>
      </c>
      <c r="D43" s="3">
        <v>0.167</v>
      </c>
      <c r="E43" s="4" t="s">
        <v>112</v>
      </c>
      <c r="F43" s="1">
        <f>(C43*D43)</f>
        <v>612.3333333333334</v>
      </c>
      <c r="G43" s="1">
        <f>F43*12</f>
        <v>7348</v>
      </c>
    </row>
    <row r="44" spans="1:9" ht="12.75">
      <c r="A44" t="s">
        <v>73</v>
      </c>
      <c r="B44" s="1">
        <f>B45+B46</f>
        <v>1500000</v>
      </c>
      <c r="C44" s="1">
        <f>C45+C46</f>
        <v>125000</v>
      </c>
      <c r="D44" s="3">
        <v>0.075</v>
      </c>
      <c r="E44" s="5" t="s">
        <v>105</v>
      </c>
      <c r="F44" s="1">
        <f>(C44*D44)/100</f>
        <v>93.75</v>
      </c>
      <c r="G44" s="1">
        <f>G45+G46</f>
        <v>1125</v>
      </c>
      <c r="H44" s="6"/>
      <c r="I44" s="6">
        <f>G44/$G$49</f>
        <v>0.002671455815189399</v>
      </c>
    </row>
    <row r="45" spans="1:7" ht="12.75">
      <c r="A45" t="s">
        <v>82</v>
      </c>
      <c r="B45" s="1">
        <v>0</v>
      </c>
      <c r="C45" s="1">
        <f>B45/12</f>
        <v>0</v>
      </c>
      <c r="D45" s="3">
        <v>0.075</v>
      </c>
      <c r="E45" s="5" t="s">
        <v>105</v>
      </c>
      <c r="F45" s="1">
        <f>(C45*D45)/100</f>
        <v>0</v>
      </c>
      <c r="G45" s="1">
        <f>F45*12</f>
        <v>0</v>
      </c>
    </row>
    <row r="46" spans="1:7" ht="12.75">
      <c r="A46" t="s">
        <v>83</v>
      </c>
      <c r="B46" s="1">
        <f>(B5*2000)*0.5</f>
        <v>1500000</v>
      </c>
      <c r="C46" s="1">
        <f>B46/12</f>
        <v>125000</v>
      </c>
      <c r="D46" s="3">
        <v>0.075</v>
      </c>
      <c r="E46" s="5" t="s">
        <v>105</v>
      </c>
      <c r="F46" s="1">
        <f>(C46*D46)/100</f>
        <v>93.75</v>
      </c>
      <c r="G46" s="1">
        <f>F46*12</f>
        <v>1125</v>
      </c>
    </row>
    <row r="47" spans="1:9" ht="12.75">
      <c r="A47" t="s">
        <v>74</v>
      </c>
      <c r="B47" s="1">
        <f>B44-180000</f>
        <v>1320000</v>
      </c>
      <c r="C47" s="1">
        <f>B47/12</f>
        <v>110000</v>
      </c>
      <c r="D47">
        <v>0.901</v>
      </c>
      <c r="E47" s="2" t="s">
        <v>90</v>
      </c>
      <c r="F47" s="1">
        <f>(250+((C47/1000)*D47))</f>
        <v>349.11</v>
      </c>
      <c r="G47" s="1">
        <f>F47*12</f>
        <v>4189.32</v>
      </c>
      <c r="H47" s="6"/>
      <c r="I47" s="6">
        <f>G47/$G$49</f>
        <v>0.009948074022834891</v>
      </c>
    </row>
    <row r="48" spans="2:7" ht="12.75">
      <c r="B48" s="1"/>
      <c r="C48" s="1"/>
      <c r="D48" s="1"/>
      <c r="E48" s="5"/>
      <c r="F48" s="1"/>
      <c r="G48" s="1"/>
    </row>
    <row r="49" spans="1:9" ht="12.75">
      <c r="A49" s="7" t="s">
        <v>87</v>
      </c>
      <c r="B49" s="7"/>
      <c r="C49" s="7"/>
      <c r="D49" s="7"/>
      <c r="E49" s="7"/>
      <c r="F49" s="9">
        <f>F47+F44+F40+F26+F22+F21+F17</f>
        <v>37176.558333333334</v>
      </c>
      <c r="G49" s="9">
        <f>G47+G44+G40+G26+G22+G21+G17</f>
        <v>421118.7</v>
      </c>
      <c r="H49" s="7"/>
      <c r="I49" s="10">
        <f>G49/$G$49</f>
        <v>1</v>
      </c>
    </row>
    <row r="50" spans="1:9" ht="12.75">
      <c r="A50" s="15" t="s">
        <v>108</v>
      </c>
      <c r="B50" s="7"/>
      <c r="C50" s="7"/>
      <c r="D50" s="7"/>
      <c r="E50" s="7"/>
      <c r="F50" s="18">
        <f>-(F19-(B6*(D19/100)/12))</f>
        <v>-992.7083333333333</v>
      </c>
      <c r="G50" s="18">
        <f>F50*12</f>
        <v>-11912.5</v>
      </c>
      <c r="H50" s="7"/>
      <c r="I50" s="10"/>
    </row>
    <row r="51" spans="1:9" ht="12.75">
      <c r="A51" s="15" t="s">
        <v>33</v>
      </c>
      <c r="B51" s="7"/>
      <c r="C51" s="7"/>
      <c r="D51" s="16">
        <v>0.09</v>
      </c>
      <c r="E51" s="16">
        <v>360</v>
      </c>
      <c r="F51" s="17">
        <f>-PMT(D51/12,E51,B6)</f>
        <v>80462.26169447809</v>
      </c>
      <c r="G51" s="18">
        <f>F51*12</f>
        <v>965547.140333737</v>
      </c>
      <c r="H51" s="7"/>
      <c r="I51" s="10"/>
    </row>
    <row r="52" spans="1:9" ht="12.75">
      <c r="A52" s="7" t="s">
        <v>37</v>
      </c>
      <c r="B52" s="7"/>
      <c r="C52" s="7"/>
      <c r="D52" s="7"/>
      <c r="E52" s="7"/>
      <c r="F52" s="9">
        <f>F51+F50+F49</f>
        <v>116646.1116944781</v>
      </c>
      <c r="G52" s="9">
        <f>G51+G49+G50</f>
        <v>1374753.340333737</v>
      </c>
      <c r="H52" s="7"/>
      <c r="I52" s="10"/>
    </row>
    <row r="53" spans="1:7" ht="12.75">
      <c r="A53" s="15" t="s">
        <v>88</v>
      </c>
      <c r="B53" s="16"/>
      <c r="C53" s="16"/>
      <c r="D53" s="16">
        <v>0.09</v>
      </c>
      <c r="E53" s="16">
        <v>360</v>
      </c>
      <c r="F53" s="17">
        <f>-PMT(D53/12,E53,B7)</f>
        <v>120693.39254171714</v>
      </c>
      <c r="G53" s="18">
        <f>F53*12</f>
        <v>1448320.7105006056</v>
      </c>
    </row>
    <row r="54" spans="1:7" ht="12.75">
      <c r="A54" s="7" t="s">
        <v>38</v>
      </c>
      <c r="D54" s="7"/>
      <c r="E54" s="7"/>
      <c r="F54" s="9">
        <f>F53+F49</f>
        <v>157869.95087505048</v>
      </c>
      <c r="G54" s="9">
        <f>G53+G49</f>
        <v>1869439.4105006056</v>
      </c>
    </row>
    <row r="55" ht="12.75">
      <c r="I55" s="11"/>
    </row>
    <row r="57" ht="12.75">
      <c r="A57" t="s">
        <v>113</v>
      </c>
    </row>
    <row r="58" spans="1:6" ht="12.75">
      <c r="A58" t="s">
        <v>114</v>
      </c>
      <c r="F58" s="13"/>
    </row>
    <row r="59" spans="1:6" ht="12.75">
      <c r="A59" t="s">
        <v>26</v>
      </c>
      <c r="F59" s="13"/>
    </row>
    <row r="60" spans="1:6" ht="12.75">
      <c r="A60" t="s">
        <v>54</v>
      </c>
      <c r="F60" s="13"/>
    </row>
    <row r="61" spans="1:6" ht="12.75">
      <c r="A61" t="s">
        <v>55</v>
      </c>
      <c r="E61" s="12"/>
      <c r="F61" s="12"/>
    </row>
    <row r="62" spans="1:5" ht="12.75">
      <c r="A62" t="s">
        <v>67</v>
      </c>
      <c r="E62" s="11"/>
    </row>
    <row r="65" spans="1:6" ht="12.75">
      <c r="A65" s="7" t="s">
        <v>52</v>
      </c>
      <c r="B65" s="2" t="s">
        <v>51</v>
      </c>
      <c r="C65" s="2" t="s">
        <v>50</v>
      </c>
      <c r="D65" s="2" t="s">
        <v>47</v>
      </c>
      <c r="E65" s="2" t="s">
        <v>48</v>
      </c>
      <c r="F65" s="2" t="s">
        <v>49</v>
      </c>
    </row>
    <row r="66" spans="1:6" ht="12.75">
      <c r="A66" t="s">
        <v>39</v>
      </c>
      <c r="B66" s="2">
        <v>28</v>
      </c>
      <c r="C66" s="2">
        <v>40</v>
      </c>
      <c r="D66" s="14">
        <f>C66*B66</f>
        <v>1120</v>
      </c>
      <c r="E66" s="5">
        <f>F66/12</f>
        <v>4853.333333333333</v>
      </c>
      <c r="F66" s="5">
        <f>D66*52</f>
        <v>58240</v>
      </c>
    </row>
    <row r="67" spans="1:6" ht="12.75">
      <c r="A67" t="s">
        <v>40</v>
      </c>
      <c r="B67" s="5">
        <v>26.22771736409001</v>
      </c>
      <c r="C67" s="2">
        <v>40</v>
      </c>
      <c r="D67" s="14">
        <f>C67*B67</f>
        <v>1049.1086945636005</v>
      </c>
      <c r="E67" s="5">
        <f>F67/12</f>
        <v>4546.1376764422685</v>
      </c>
      <c r="F67" s="5">
        <f>D67*52</f>
        <v>54553.652117307225</v>
      </c>
    </row>
    <row r="68" spans="1:6" ht="12.75">
      <c r="A68" t="s">
        <v>41</v>
      </c>
      <c r="B68" s="5">
        <v>18.51368284524001</v>
      </c>
      <c r="C68" s="2">
        <v>40</v>
      </c>
      <c r="D68" s="14">
        <f>C68*B68</f>
        <v>740.5473138096004</v>
      </c>
      <c r="E68" s="5">
        <f>F68/12</f>
        <v>3209.0383598416015</v>
      </c>
      <c r="F68" s="5">
        <f>D68*52</f>
        <v>38508.46031809922</v>
      </c>
    </row>
    <row r="69" spans="1:6" ht="12.75">
      <c r="A69" t="s">
        <v>43</v>
      </c>
      <c r="B69" s="5">
        <v>16.97087594147001</v>
      </c>
      <c r="C69" s="2">
        <v>40</v>
      </c>
      <c r="D69" s="14">
        <f>C69*B69</f>
        <v>678.8350376588004</v>
      </c>
      <c r="E69" s="5">
        <f>F69/12</f>
        <v>2941.6184965214684</v>
      </c>
      <c r="F69" s="5">
        <f>D69*52</f>
        <v>35299.42195825762</v>
      </c>
    </row>
    <row r="70" spans="1:6" ht="12.75">
      <c r="A70" t="s">
        <v>42</v>
      </c>
      <c r="B70" s="5">
        <v>12.342455230160008</v>
      </c>
      <c r="C70" s="2">
        <v>40</v>
      </c>
      <c r="D70" s="14">
        <f>C70*B70</f>
        <v>493.6982092064003</v>
      </c>
      <c r="E70" s="5">
        <f>F70/12</f>
        <v>2139.358906561068</v>
      </c>
      <c r="F70" s="5">
        <f>D70*52</f>
        <v>25672.306878732816</v>
      </c>
    </row>
    <row r="71" spans="1:6" ht="12.75">
      <c r="A71" t="s">
        <v>46</v>
      </c>
      <c r="B71" s="5">
        <v>12</v>
      </c>
      <c r="C71" s="2"/>
      <c r="D71" s="14"/>
      <c r="E71" s="5"/>
      <c r="F71" s="5"/>
    </row>
    <row r="72" ht="12.75">
      <c r="A72" t="s">
        <v>44</v>
      </c>
    </row>
    <row r="73" ht="12.75">
      <c r="A73" t="s">
        <v>45</v>
      </c>
    </row>
    <row r="74" ht="12.75">
      <c r="F74" s="2"/>
    </row>
    <row r="75" spans="2:11" ht="12.75">
      <c r="B75" s="21" t="s">
        <v>61</v>
      </c>
      <c r="C75" s="21"/>
      <c r="D75" s="21" t="s">
        <v>62</v>
      </c>
      <c r="E75" s="21"/>
      <c r="G75" s="2" t="s">
        <v>63</v>
      </c>
      <c r="K75" s="2" t="s">
        <v>64</v>
      </c>
    </row>
    <row r="76" spans="1:12" ht="12.75">
      <c r="A76" s="7" t="s">
        <v>57</v>
      </c>
      <c r="B76" s="2" t="s">
        <v>1</v>
      </c>
      <c r="C76" s="2" t="s">
        <v>10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51</v>
      </c>
      <c r="J76" s="2" t="s">
        <v>47</v>
      </c>
      <c r="K76" s="2" t="s">
        <v>48</v>
      </c>
      <c r="L76" s="2" t="s">
        <v>49</v>
      </c>
    </row>
    <row r="77" spans="1:9" ht="12.75">
      <c r="A77" t="s">
        <v>7</v>
      </c>
      <c r="B77" s="2">
        <v>9</v>
      </c>
      <c r="C77" s="2">
        <v>8</v>
      </c>
      <c r="D77" s="2">
        <v>8</v>
      </c>
      <c r="E77" s="2">
        <v>8</v>
      </c>
      <c r="F77" s="2">
        <v>85</v>
      </c>
      <c r="G77" s="2">
        <v>32</v>
      </c>
      <c r="H77" s="19">
        <v>117</v>
      </c>
      <c r="I77" s="2"/>
    </row>
    <row r="78" spans="2:9" ht="12.75">
      <c r="B78" s="2"/>
      <c r="C78" s="2"/>
      <c r="D78" s="2"/>
      <c r="E78" s="2"/>
      <c r="F78" s="2"/>
      <c r="G78" s="2"/>
      <c r="H78" s="19"/>
      <c r="I78" s="2"/>
    </row>
    <row r="79" spans="1:12" ht="12.75">
      <c r="A79" t="s">
        <v>9</v>
      </c>
      <c r="B79" s="2">
        <v>2.4</v>
      </c>
      <c r="C79" s="2">
        <v>4</v>
      </c>
      <c r="D79" s="2">
        <v>4</v>
      </c>
      <c r="E79" s="2">
        <v>4</v>
      </c>
      <c r="F79" s="2">
        <f>SUM(B79:C79)*5</f>
        <v>32</v>
      </c>
      <c r="G79" s="2">
        <f>SUM(D79:E79)</f>
        <v>8</v>
      </c>
      <c r="H79" s="19">
        <f>G79+F79</f>
        <v>40</v>
      </c>
      <c r="I79" s="2">
        <v>28</v>
      </c>
      <c r="J79" s="5">
        <f>I79*H79</f>
        <v>1120</v>
      </c>
      <c r="K79" s="5">
        <f>L79/12</f>
        <v>4853.333333333333</v>
      </c>
      <c r="L79" s="5">
        <f>J79*52</f>
        <v>58240</v>
      </c>
    </row>
    <row r="80" spans="1:12" ht="12.75">
      <c r="A80" t="s">
        <v>8</v>
      </c>
      <c r="B80" s="2"/>
      <c r="C80" s="2">
        <v>6.3</v>
      </c>
      <c r="D80" s="2">
        <v>4</v>
      </c>
      <c r="E80" s="2">
        <v>4</v>
      </c>
      <c r="F80" s="2">
        <f aca="true" t="shared" si="0" ref="F80:F85">SUM(B80:C80)*5</f>
        <v>31.5</v>
      </c>
      <c r="G80" s="2">
        <f aca="true" t="shared" si="1" ref="G80:G85">SUM(D80:E80)</f>
        <v>8</v>
      </c>
      <c r="H80" s="19">
        <f aca="true" t="shared" si="2" ref="H80:H85">G80+F80</f>
        <v>39.5</v>
      </c>
      <c r="I80" s="2">
        <v>26</v>
      </c>
      <c r="J80" s="5">
        <f aca="true" t="shared" si="3" ref="J80:J85">I80*H80</f>
        <v>1027</v>
      </c>
      <c r="K80" s="5">
        <f aca="true" t="shared" si="4" ref="K80:K85">L80/12</f>
        <v>4450.333333333333</v>
      </c>
      <c r="L80" s="5">
        <f aca="true" t="shared" si="5" ref="L80:L85">J80*52</f>
        <v>53404</v>
      </c>
    </row>
    <row r="81" spans="1:12" ht="12.75">
      <c r="A81" t="s">
        <v>115</v>
      </c>
      <c r="B81" s="2">
        <v>3</v>
      </c>
      <c r="C81" s="2">
        <v>1.7</v>
      </c>
      <c r="D81" s="2">
        <v>4</v>
      </c>
      <c r="E81" s="2">
        <v>4</v>
      </c>
      <c r="F81" s="2">
        <f t="shared" si="0"/>
        <v>23.5</v>
      </c>
      <c r="G81" s="2">
        <f t="shared" si="1"/>
        <v>8</v>
      </c>
      <c r="H81" s="19">
        <f t="shared" si="2"/>
        <v>31.5</v>
      </c>
      <c r="I81" s="2">
        <v>17</v>
      </c>
      <c r="J81" s="5">
        <f t="shared" si="3"/>
        <v>535.5</v>
      </c>
      <c r="K81" s="5">
        <f t="shared" si="4"/>
        <v>2320.5</v>
      </c>
      <c r="L81" s="5">
        <f t="shared" si="5"/>
        <v>27846</v>
      </c>
    </row>
    <row r="82" spans="1:12" ht="12.75">
      <c r="A82" t="s">
        <v>56</v>
      </c>
      <c r="B82" s="2">
        <v>7</v>
      </c>
      <c r="C82" s="2"/>
      <c r="D82" s="2"/>
      <c r="E82" s="2"/>
      <c r="F82" s="2">
        <f t="shared" si="0"/>
        <v>35</v>
      </c>
      <c r="G82" s="2">
        <f t="shared" si="1"/>
        <v>0</v>
      </c>
      <c r="H82" s="19">
        <f t="shared" si="2"/>
        <v>35</v>
      </c>
      <c r="I82" s="2">
        <v>19</v>
      </c>
      <c r="J82" s="5">
        <f t="shared" si="3"/>
        <v>665</v>
      </c>
      <c r="K82" s="5">
        <f t="shared" si="4"/>
        <v>2881.6666666666665</v>
      </c>
      <c r="L82" s="5">
        <f t="shared" si="5"/>
        <v>34580</v>
      </c>
    </row>
    <row r="83" spans="1:12" ht="12.75">
      <c r="A83" t="s">
        <v>116</v>
      </c>
      <c r="B83" s="2"/>
      <c r="C83" s="2"/>
      <c r="D83" s="2"/>
      <c r="E83" s="2"/>
      <c r="F83" s="2">
        <f t="shared" si="0"/>
        <v>0</v>
      </c>
      <c r="G83" s="2">
        <f t="shared" si="1"/>
        <v>0</v>
      </c>
      <c r="H83" s="19">
        <f t="shared" si="2"/>
        <v>0</v>
      </c>
      <c r="I83" s="2">
        <v>12</v>
      </c>
      <c r="J83" s="5">
        <f t="shared" si="3"/>
        <v>0</v>
      </c>
      <c r="K83" s="5">
        <f t="shared" si="4"/>
        <v>0</v>
      </c>
      <c r="L83" s="5">
        <f t="shared" si="5"/>
        <v>0</v>
      </c>
    </row>
    <row r="84" spans="1:12" ht="12.75">
      <c r="A84" t="s">
        <v>117</v>
      </c>
      <c r="B84" s="2"/>
      <c r="C84" s="2">
        <v>0.874</v>
      </c>
      <c r="D84" s="2">
        <v>4</v>
      </c>
      <c r="E84" s="2">
        <v>4</v>
      </c>
      <c r="F84" s="2">
        <f t="shared" si="0"/>
        <v>4.37</v>
      </c>
      <c r="G84" s="2">
        <f t="shared" si="1"/>
        <v>8</v>
      </c>
      <c r="H84" s="19">
        <f t="shared" si="2"/>
        <v>12.370000000000001</v>
      </c>
      <c r="I84" s="2">
        <v>12</v>
      </c>
      <c r="J84" s="5">
        <f t="shared" si="3"/>
        <v>148.44</v>
      </c>
      <c r="K84" s="5">
        <f t="shared" si="4"/>
        <v>643.24</v>
      </c>
      <c r="L84" s="5">
        <f t="shared" si="5"/>
        <v>7718.88</v>
      </c>
    </row>
    <row r="85" spans="1:12" ht="12.75">
      <c r="A85" t="s">
        <v>58</v>
      </c>
      <c r="B85" s="2"/>
      <c r="C85" s="2"/>
      <c r="D85" s="2"/>
      <c r="E85" s="2">
        <v>0</v>
      </c>
      <c r="F85" s="2">
        <f t="shared" si="0"/>
        <v>0</v>
      </c>
      <c r="G85" s="2">
        <f t="shared" si="1"/>
        <v>0</v>
      </c>
      <c r="H85" s="19">
        <f t="shared" si="2"/>
        <v>0</v>
      </c>
      <c r="I85" s="2">
        <v>12</v>
      </c>
      <c r="J85" s="5">
        <f t="shared" si="3"/>
        <v>0</v>
      </c>
      <c r="K85" s="5">
        <f t="shared" si="4"/>
        <v>0</v>
      </c>
      <c r="L85" s="5">
        <f t="shared" si="5"/>
        <v>0</v>
      </c>
    </row>
    <row r="86" spans="1:8" ht="12.75">
      <c r="A86" t="s">
        <v>0</v>
      </c>
      <c r="B86" s="2"/>
      <c r="C86" s="2" t="s">
        <v>65</v>
      </c>
      <c r="D86" s="2" t="s">
        <v>65</v>
      </c>
      <c r="E86" s="2" t="s">
        <v>65</v>
      </c>
      <c r="F86" s="2" t="s">
        <v>65</v>
      </c>
      <c r="G86" s="2" t="s">
        <v>65</v>
      </c>
      <c r="H86" s="2" t="s">
        <v>65</v>
      </c>
    </row>
    <row r="87" spans="1:8" ht="12.75">
      <c r="A87" t="s">
        <v>21</v>
      </c>
      <c r="B87" s="2"/>
      <c r="C87" s="2" t="s">
        <v>65</v>
      </c>
      <c r="D87" s="2" t="s">
        <v>65</v>
      </c>
      <c r="E87" s="2" t="s">
        <v>65</v>
      </c>
      <c r="F87" s="2" t="s">
        <v>65</v>
      </c>
      <c r="G87" s="2" t="s">
        <v>65</v>
      </c>
      <c r="H87" s="2" t="s">
        <v>65</v>
      </c>
    </row>
    <row r="88" spans="1:8" ht="12.75">
      <c r="A88" t="s">
        <v>20</v>
      </c>
      <c r="B88" s="2"/>
      <c r="C88" s="2" t="s">
        <v>65</v>
      </c>
      <c r="D88" s="2" t="s">
        <v>65</v>
      </c>
      <c r="E88" s="2" t="s">
        <v>65</v>
      </c>
      <c r="F88" s="2" t="s">
        <v>65</v>
      </c>
      <c r="G88" s="2" t="s">
        <v>65</v>
      </c>
      <c r="H88" s="2" t="s">
        <v>65</v>
      </c>
    </row>
    <row r="89" spans="2:8" ht="12.75">
      <c r="B89" s="2"/>
      <c r="C89" s="2"/>
      <c r="D89" s="2"/>
      <c r="E89" s="2"/>
      <c r="F89" s="2"/>
      <c r="G89" s="2"/>
      <c r="H89" s="2"/>
    </row>
    <row r="90" spans="5:12" ht="12.75">
      <c r="E90" t="s">
        <v>59</v>
      </c>
      <c r="F90" s="5">
        <f>SUM(F79:F88)</f>
        <v>126.37</v>
      </c>
      <c r="G90" s="5">
        <f>SUM(G79:G88)</f>
        <v>32</v>
      </c>
      <c r="H90" s="5">
        <f>SUM(H79:H88)</f>
        <v>158.37</v>
      </c>
      <c r="J90" s="5">
        <f>SUM(J79:J88)</f>
        <v>3495.94</v>
      </c>
      <c r="K90" s="5">
        <f>SUM(K79:K88)</f>
        <v>15149.073333333332</v>
      </c>
      <c r="L90" s="5">
        <f>SUM(L79:L88)</f>
        <v>181788.88</v>
      </c>
    </row>
    <row r="93" ht="12.75">
      <c r="A93" t="s">
        <v>85</v>
      </c>
    </row>
    <row r="120" ht="12.75">
      <c r="A120" s="7"/>
    </row>
    <row r="121" ht="12.75">
      <c r="A121" t="s">
        <v>11</v>
      </c>
    </row>
    <row r="122" ht="12.75">
      <c r="A122" t="s">
        <v>12</v>
      </c>
    </row>
    <row r="123" ht="12.75">
      <c r="A123" t="s">
        <v>13</v>
      </c>
    </row>
    <row r="124" ht="12.75">
      <c r="A124" t="s">
        <v>14</v>
      </c>
    </row>
    <row r="125" ht="12.75">
      <c r="A125" t="s">
        <v>14</v>
      </c>
    </row>
    <row r="126" ht="12.75">
      <c r="A126" t="s">
        <v>15</v>
      </c>
    </row>
    <row r="127" ht="12.75">
      <c r="A127" t="s">
        <v>15</v>
      </c>
    </row>
    <row r="128" ht="12.75">
      <c r="A128" t="s">
        <v>16</v>
      </c>
    </row>
    <row r="129" ht="12.75">
      <c r="A129" t="s">
        <v>17</v>
      </c>
    </row>
    <row r="130" ht="12.75">
      <c r="A130" t="s">
        <v>18</v>
      </c>
    </row>
    <row r="131" ht="12.75">
      <c r="A131" t="s">
        <v>18</v>
      </c>
    </row>
    <row r="132" ht="12.75">
      <c r="A132" t="s">
        <v>19</v>
      </c>
    </row>
    <row r="133" ht="12.75">
      <c r="A133" t="s">
        <v>20</v>
      </c>
    </row>
    <row r="134" ht="12.75">
      <c r="A134" t="s">
        <v>21</v>
      </c>
    </row>
    <row r="135" ht="12.75">
      <c r="A135" t="s">
        <v>21</v>
      </c>
    </row>
    <row r="136" ht="12.75">
      <c r="A136" t="s">
        <v>22</v>
      </c>
    </row>
    <row r="137" ht="12.75">
      <c r="A137" t="s">
        <v>23</v>
      </c>
    </row>
    <row r="138" ht="12.75">
      <c r="A138" t="s">
        <v>24</v>
      </c>
    </row>
    <row r="139" ht="12.75">
      <c r="A139" t="s">
        <v>25</v>
      </c>
    </row>
  </sheetData>
  <mergeCells count="2">
    <mergeCell ref="B75:C75"/>
    <mergeCell ref="D75:E7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94:L109"/>
  <sheetViews>
    <sheetView workbookViewId="0" topLeftCell="A65">
      <selection activeCell="F118" sqref="F118"/>
    </sheetView>
  </sheetViews>
  <sheetFormatPr defaultColWidth="11.00390625" defaultRowHeight="12.75"/>
  <sheetData>
    <row r="94" spans="2:11" ht="12.75">
      <c r="B94" s="21" t="s">
        <v>61</v>
      </c>
      <c r="C94" s="21"/>
      <c r="D94" s="21" t="s">
        <v>62</v>
      </c>
      <c r="E94" s="21"/>
      <c r="G94" s="2" t="s">
        <v>63</v>
      </c>
      <c r="K94" s="2" t="s">
        <v>64</v>
      </c>
    </row>
    <row r="95" spans="1:12" ht="12.75">
      <c r="A95" s="7" t="s">
        <v>60</v>
      </c>
      <c r="B95" s="2" t="s">
        <v>1</v>
      </c>
      <c r="C95" s="2" t="s">
        <v>10</v>
      </c>
      <c r="D95" s="2" t="s">
        <v>2</v>
      </c>
      <c r="E95" s="2" t="s">
        <v>3</v>
      </c>
      <c r="F95" s="2" t="s">
        <v>4</v>
      </c>
      <c r="G95" s="2" t="s">
        <v>5</v>
      </c>
      <c r="H95" s="2" t="s">
        <v>6</v>
      </c>
      <c r="I95" s="2" t="s">
        <v>51</v>
      </c>
      <c r="J95" s="2" t="s">
        <v>47</v>
      </c>
      <c r="K95" s="2" t="s">
        <v>48</v>
      </c>
      <c r="L95" s="2" t="s">
        <v>49</v>
      </c>
    </row>
    <row r="96" spans="1:9" ht="12.75">
      <c r="A96" t="s">
        <v>7</v>
      </c>
      <c r="B96" s="2">
        <v>9</v>
      </c>
      <c r="C96" s="2">
        <v>8</v>
      </c>
      <c r="D96" s="2">
        <v>8</v>
      </c>
      <c r="E96" s="2">
        <v>8</v>
      </c>
      <c r="F96" s="2">
        <v>85</v>
      </c>
      <c r="G96" s="2">
        <v>32</v>
      </c>
      <c r="H96" s="19">
        <v>117</v>
      </c>
      <c r="I96" s="2"/>
    </row>
    <row r="97" spans="2:9" ht="12.75">
      <c r="B97" s="2"/>
      <c r="C97" s="2"/>
      <c r="D97" s="2"/>
      <c r="E97" s="2"/>
      <c r="F97" s="2"/>
      <c r="G97" s="2"/>
      <c r="H97" s="19"/>
      <c r="I97" s="2"/>
    </row>
    <row r="98" spans="1:12" ht="12.75">
      <c r="A98" t="s">
        <v>9</v>
      </c>
      <c r="B98" s="2"/>
      <c r="C98" s="2">
        <v>6.3</v>
      </c>
      <c r="D98" s="2">
        <v>4</v>
      </c>
      <c r="E98" s="2">
        <v>4</v>
      </c>
      <c r="F98" s="2">
        <f aca="true" t="shared" si="0" ref="F98:F104">SUM(B98:C98)*5</f>
        <v>31.5</v>
      </c>
      <c r="G98" s="2">
        <f aca="true" t="shared" si="1" ref="G98:G104">SUM(D98:E98)</f>
        <v>8</v>
      </c>
      <c r="H98" s="19">
        <f aca="true" t="shared" si="2" ref="H98:H104">G98+F98</f>
        <v>39.5</v>
      </c>
      <c r="I98" s="2">
        <v>28</v>
      </c>
      <c r="J98" s="5">
        <f aca="true" t="shared" si="3" ref="J98:J104">I98*H98</f>
        <v>1106</v>
      </c>
      <c r="K98" s="5">
        <f aca="true" t="shared" si="4" ref="K98:K104">L98/12</f>
        <v>4792.666666666667</v>
      </c>
      <c r="L98" s="5">
        <f aca="true" t="shared" si="5" ref="L98:L104">J98*52</f>
        <v>57512</v>
      </c>
    </row>
    <row r="99" spans="1:12" ht="12.75">
      <c r="A99" t="s">
        <v>8</v>
      </c>
      <c r="B99" s="2"/>
      <c r="C99" s="2">
        <v>6.3</v>
      </c>
      <c r="D99" s="2">
        <v>4</v>
      </c>
      <c r="E99" s="2">
        <v>4</v>
      </c>
      <c r="F99" s="2">
        <f t="shared" si="0"/>
        <v>31.5</v>
      </c>
      <c r="G99" s="2">
        <f t="shared" si="1"/>
        <v>8</v>
      </c>
      <c r="H99" s="19">
        <f t="shared" si="2"/>
        <v>39.5</v>
      </c>
      <c r="I99" s="2">
        <v>26</v>
      </c>
      <c r="J99" s="5">
        <f t="shared" si="3"/>
        <v>1027</v>
      </c>
      <c r="K99" s="5">
        <f t="shared" si="4"/>
        <v>4450.333333333333</v>
      </c>
      <c r="L99" s="5">
        <f t="shared" si="5"/>
        <v>53404</v>
      </c>
    </row>
    <row r="100" spans="1:12" ht="12.75">
      <c r="A100" t="s">
        <v>115</v>
      </c>
      <c r="B100" s="2">
        <v>9</v>
      </c>
      <c r="C100" s="2">
        <v>1.7</v>
      </c>
      <c r="D100" s="2">
        <v>4</v>
      </c>
      <c r="E100" s="2">
        <v>4</v>
      </c>
      <c r="F100" s="2">
        <f t="shared" si="0"/>
        <v>53.5</v>
      </c>
      <c r="G100" s="2">
        <f t="shared" si="1"/>
        <v>8</v>
      </c>
      <c r="H100" s="19">
        <f t="shared" si="2"/>
        <v>61.5</v>
      </c>
      <c r="I100" s="2">
        <v>17</v>
      </c>
      <c r="J100" s="5">
        <f t="shared" si="3"/>
        <v>1045.5</v>
      </c>
      <c r="K100" s="5">
        <f t="shared" si="4"/>
        <v>4530.5</v>
      </c>
      <c r="L100" s="5">
        <f t="shared" si="5"/>
        <v>54366</v>
      </c>
    </row>
    <row r="101" spans="1:12" ht="12.75">
      <c r="A101" t="s">
        <v>56</v>
      </c>
      <c r="B101" s="2">
        <v>7</v>
      </c>
      <c r="C101" s="2"/>
      <c r="D101" s="2"/>
      <c r="E101" s="2"/>
      <c r="F101" s="2">
        <f t="shared" si="0"/>
        <v>35</v>
      </c>
      <c r="G101" s="2">
        <f t="shared" si="1"/>
        <v>0</v>
      </c>
      <c r="H101" s="19">
        <f t="shared" si="2"/>
        <v>35</v>
      </c>
      <c r="I101" s="2">
        <v>19</v>
      </c>
      <c r="J101" s="5">
        <f t="shared" si="3"/>
        <v>665</v>
      </c>
      <c r="K101" s="5">
        <f t="shared" si="4"/>
        <v>2881.6666666666665</v>
      </c>
      <c r="L101" s="5">
        <f t="shared" si="5"/>
        <v>34580</v>
      </c>
    </row>
    <row r="102" spans="1:12" ht="12.75">
      <c r="A102" t="s">
        <v>116</v>
      </c>
      <c r="B102" s="2"/>
      <c r="C102" s="2">
        <v>8</v>
      </c>
      <c r="D102" s="2">
        <v>8</v>
      </c>
      <c r="E102" s="2">
        <v>8</v>
      </c>
      <c r="F102" s="2">
        <f t="shared" si="0"/>
        <v>40</v>
      </c>
      <c r="G102" s="2">
        <f t="shared" si="1"/>
        <v>16</v>
      </c>
      <c r="H102" s="19">
        <f t="shared" si="2"/>
        <v>56</v>
      </c>
      <c r="I102" s="2">
        <v>12</v>
      </c>
      <c r="J102" s="5">
        <f t="shared" si="3"/>
        <v>672</v>
      </c>
      <c r="K102" s="5">
        <f t="shared" si="4"/>
        <v>2912</v>
      </c>
      <c r="L102" s="5">
        <f t="shared" si="5"/>
        <v>34944</v>
      </c>
    </row>
    <row r="103" spans="1:12" ht="12.75">
      <c r="A103" t="s">
        <v>117</v>
      </c>
      <c r="B103" s="2"/>
      <c r="C103" s="2">
        <v>8</v>
      </c>
      <c r="D103" s="2">
        <v>8</v>
      </c>
      <c r="E103" s="2">
        <v>8</v>
      </c>
      <c r="F103" s="2">
        <f t="shared" si="0"/>
        <v>40</v>
      </c>
      <c r="G103" s="2">
        <f t="shared" si="1"/>
        <v>16</v>
      </c>
      <c r="H103" s="19">
        <f t="shared" si="2"/>
        <v>56</v>
      </c>
      <c r="I103" s="2">
        <v>12</v>
      </c>
      <c r="J103" s="5">
        <f t="shared" si="3"/>
        <v>672</v>
      </c>
      <c r="K103" s="5">
        <f t="shared" si="4"/>
        <v>2912</v>
      </c>
      <c r="L103" s="5">
        <f t="shared" si="5"/>
        <v>34944</v>
      </c>
    </row>
    <row r="104" spans="1:12" ht="12.75">
      <c r="A104" t="s">
        <v>58</v>
      </c>
      <c r="B104" s="2"/>
      <c r="C104" s="2"/>
      <c r="D104" s="2"/>
      <c r="E104" s="2">
        <v>4</v>
      </c>
      <c r="F104" s="2">
        <f t="shared" si="0"/>
        <v>0</v>
      </c>
      <c r="G104" s="2">
        <f t="shared" si="1"/>
        <v>4</v>
      </c>
      <c r="H104" s="19">
        <f t="shared" si="2"/>
        <v>4</v>
      </c>
      <c r="I104" s="2">
        <v>12</v>
      </c>
      <c r="J104" s="5">
        <f t="shared" si="3"/>
        <v>48</v>
      </c>
      <c r="K104" s="5">
        <f t="shared" si="4"/>
        <v>208</v>
      </c>
      <c r="L104" s="5">
        <f t="shared" si="5"/>
        <v>2496</v>
      </c>
    </row>
    <row r="105" spans="1:2" ht="12.75">
      <c r="A105" t="s">
        <v>0</v>
      </c>
      <c r="B105" s="2"/>
    </row>
    <row r="106" spans="1:8" ht="12.75">
      <c r="A106" t="s">
        <v>21</v>
      </c>
      <c r="B106" s="2"/>
      <c r="C106" s="2"/>
      <c r="D106" s="2"/>
      <c r="E106" s="2"/>
      <c r="F106" s="2"/>
      <c r="G106" s="2"/>
      <c r="H106" s="2"/>
    </row>
    <row r="107" spans="1:8" ht="12.75">
      <c r="A107" t="s">
        <v>20</v>
      </c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9:12" ht="12.75">
      <c r="I109" t="s">
        <v>59</v>
      </c>
      <c r="J109" s="5">
        <f>SUM(J98:J105)</f>
        <v>5235.5</v>
      </c>
      <c r="K109" s="5">
        <f>SUM(K98:K105)</f>
        <v>22687.166666666668</v>
      </c>
      <c r="L109" s="5">
        <f>SUM(L98:L105)</f>
        <v>272246</v>
      </c>
    </row>
  </sheetData>
  <mergeCells count="2">
    <mergeCell ref="B94:C94"/>
    <mergeCell ref="D94:E9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Carpenter Architecrs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Carpenter</dc:creator>
  <cp:keywords/>
  <dc:description/>
  <cp:lastModifiedBy>Ross Carpenter</cp:lastModifiedBy>
  <dcterms:created xsi:type="dcterms:W3CDTF">2008-03-29T02:55:43Z</dcterms:created>
  <cp:category/>
  <cp:version/>
  <cp:contentType/>
  <cp:contentStatus/>
</cp:coreProperties>
</file>